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adio\Projects\Расчеты\"/>
    </mc:Choice>
  </mc:AlternateContent>
  <bookViews>
    <workbookView xWindow="0" yWindow="0" windowWidth="20700" windowHeight="9840"/>
  </bookViews>
  <sheets>
    <sheet name="push-pull FET" sheetId="4" r:id="rId1"/>
    <sheet name="push-pull BJT" sheetId="3" r:id="rId2"/>
    <sheet name="single FET" sheetId="7" r:id="rId3"/>
    <sheet name="single BJT" sheetId="6" r:id="rId4"/>
    <sheet name="single generic" sheetId="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8" l="1"/>
  <c r="G11" i="8" l="1"/>
  <c r="G10" i="8" s="1"/>
  <c r="G12" i="8" s="1"/>
  <c r="G13" i="8" s="1"/>
  <c r="G15" i="8" s="1"/>
  <c r="E10" i="8"/>
  <c r="E11" i="8" s="1"/>
  <c r="E14" i="8" s="1"/>
  <c r="D10" i="8"/>
  <c r="E13" i="8"/>
  <c r="C12" i="8"/>
  <c r="C13" i="8" s="1"/>
  <c r="C11" i="8"/>
  <c r="C14" i="8" s="1"/>
  <c r="F10" i="8"/>
  <c r="F12" i="8" s="1"/>
  <c r="H10" i="8"/>
  <c r="H11" i="8" s="1"/>
  <c r="H14" i="8" s="1"/>
  <c r="C7" i="8"/>
  <c r="G16" i="8" l="1"/>
  <c r="E15" i="8"/>
  <c r="E16" i="8"/>
  <c r="C16" i="8"/>
  <c r="F11" i="8"/>
  <c r="F14" i="8" s="1"/>
  <c r="F16" i="8" s="1"/>
  <c r="C15" i="8"/>
  <c r="H12" i="8"/>
  <c r="H13" i="8" s="1"/>
  <c r="H16" i="8" s="1"/>
  <c r="B16" i="7"/>
  <c r="B15" i="7"/>
  <c r="B14" i="7"/>
  <c r="B13" i="7"/>
  <c r="F15" i="8" l="1"/>
  <c r="B18" i="7"/>
  <c r="B12" i="7"/>
  <c r="B14" i="6"/>
  <c r="B12" i="6"/>
  <c r="K7" i="4"/>
  <c r="L7" i="4"/>
  <c r="M7" i="4"/>
  <c r="N7" i="4"/>
  <c r="O7" i="4"/>
  <c r="P7" i="4"/>
  <c r="Q7" i="4"/>
  <c r="R7" i="4"/>
  <c r="K8" i="4"/>
  <c r="L8" i="4"/>
  <c r="M8" i="4"/>
  <c r="N8" i="4"/>
  <c r="O8" i="4"/>
  <c r="P8" i="4"/>
  <c r="Q8" i="4"/>
  <c r="R8" i="4"/>
  <c r="K9" i="4"/>
  <c r="L9" i="4"/>
  <c r="M9" i="4"/>
  <c r="N9" i="4"/>
  <c r="O9" i="4"/>
  <c r="P9" i="4"/>
  <c r="Q9" i="4"/>
  <c r="R9" i="4"/>
  <c r="L6" i="4"/>
  <c r="M6" i="4"/>
  <c r="N6" i="4"/>
  <c r="O6" i="4"/>
  <c r="P6" i="4"/>
  <c r="Q6" i="4"/>
  <c r="R6" i="4"/>
  <c r="K6" i="4"/>
  <c r="B14" i="3"/>
  <c r="B12" i="4"/>
  <c r="B13" i="4" s="1"/>
  <c r="B15" i="4" s="1"/>
  <c r="K7" i="3"/>
  <c r="L7" i="3"/>
  <c r="M7" i="3"/>
  <c r="N7" i="3"/>
  <c r="O7" i="3"/>
  <c r="P7" i="3"/>
  <c r="Q7" i="3"/>
  <c r="R7" i="3"/>
  <c r="K8" i="3"/>
  <c r="L8" i="3"/>
  <c r="M8" i="3"/>
  <c r="N8" i="3"/>
  <c r="O8" i="3"/>
  <c r="P8" i="3"/>
  <c r="Q8" i="3"/>
  <c r="R8" i="3"/>
  <c r="K9" i="3"/>
  <c r="L9" i="3"/>
  <c r="M9" i="3"/>
  <c r="N9" i="3"/>
  <c r="O9" i="3"/>
  <c r="P9" i="3"/>
  <c r="Q9" i="3"/>
  <c r="R9" i="3"/>
  <c r="L6" i="3"/>
  <c r="M6" i="3"/>
  <c r="N6" i="3"/>
  <c r="O6" i="3"/>
  <c r="P6" i="3"/>
  <c r="Q6" i="3"/>
  <c r="R6" i="3"/>
  <c r="K6" i="3"/>
  <c r="B12" i="3"/>
  <c r="B15" i="3" s="1"/>
  <c r="B15" i="6" l="1"/>
  <c r="B16" i="6" s="1"/>
  <c r="B13" i="6"/>
  <c r="B18" i="6"/>
  <c r="B16" i="4"/>
  <c r="B19" i="4" s="1"/>
  <c r="B17" i="4" s="1"/>
  <c r="B19" i="7"/>
  <c r="B17" i="7"/>
  <c r="B14" i="4"/>
  <c r="B18" i="4"/>
  <c r="B13" i="3"/>
  <c r="B16" i="3"/>
  <c r="B19" i="3" s="1"/>
  <c r="B17" i="3" s="1"/>
  <c r="B17" i="6" l="1"/>
  <c r="B19" i="6"/>
  <c r="B20" i="4"/>
  <c r="B18" i="3"/>
  <c r="B20" i="3"/>
  <c r="D12" i="8" l="1"/>
  <c r="D13" i="8" s="1"/>
  <c r="D14" i="8"/>
  <c r="D16" i="8" l="1"/>
  <c r="D15" i="8"/>
</calcChain>
</file>

<file path=xl/sharedStrings.xml><?xml version="1.0" encoding="utf-8"?>
<sst xmlns="http://schemas.openxmlformats.org/spreadsheetml/2006/main" count="184" uniqueCount="70">
  <si>
    <t>VCC</t>
  </si>
  <si>
    <t>Rload</t>
  </si>
  <si>
    <t>Ohm</t>
  </si>
  <si>
    <t>N \ M</t>
  </si>
  <si>
    <t>N</t>
  </si>
  <si>
    <t>M</t>
  </si>
  <si>
    <t>количество витков первичной обмотки (коллекторы/стоки)</t>
  </si>
  <si>
    <t>количество витков вторичной обмотки (нагрузка)</t>
  </si>
  <si>
    <t>P</t>
  </si>
  <si>
    <t>Iк.max</t>
  </si>
  <si>
    <t>выходная мощность</t>
  </si>
  <si>
    <t>максимальный ток коллектора</t>
  </si>
  <si>
    <t>A</t>
  </si>
  <si>
    <t>Iк0</t>
  </si>
  <si>
    <t>постоянная составляющая тока коллектора</t>
  </si>
  <si>
    <t>Pk</t>
  </si>
  <si>
    <t>мощность рассеивания транзистора</t>
  </si>
  <si>
    <t>Itot</t>
  </si>
  <si>
    <t>Ptot</t>
  </si>
  <si>
    <t>общее потребление тока от источника питания</t>
  </si>
  <si>
    <t>общая мощность потребляемая от источника питания</t>
  </si>
  <si>
    <t>© Андрей Белоконь, UR5FFR</t>
  </si>
  <si>
    <t>КПД</t>
  </si>
  <si>
    <t>%</t>
  </si>
  <si>
    <t>Uнас</t>
  </si>
  <si>
    <t>напряжение насыщения транзистора</t>
  </si>
  <si>
    <t>Рассчет однотактного PA class B</t>
  </si>
  <si>
    <t>Рассчет двухтактного PA class B</t>
  </si>
  <si>
    <t>www.ur5ffr.com</t>
  </si>
  <si>
    <t>R</t>
  </si>
  <si>
    <t>Ron</t>
  </si>
  <si>
    <t>сопротивление открытого канала</t>
  </si>
  <si>
    <t>Vd, max</t>
  </si>
  <si>
    <t>Vc, max</t>
  </si>
  <si>
    <t>максимальное напряжение на коллекторе</t>
  </si>
  <si>
    <t>количество витков первичной обмотки</t>
  </si>
  <si>
    <t>количество витков вторичной обмотки</t>
  </si>
  <si>
    <t>максимальный ток стока</t>
  </si>
  <si>
    <t>постоянная составляющая тока стока</t>
  </si>
  <si>
    <t>Id.max</t>
  </si>
  <si>
    <t>Id0</t>
  </si>
  <si>
    <t>Pd</t>
  </si>
  <si>
    <t>максимальное напряжение на стоке</t>
  </si>
  <si>
    <t>V</t>
  </si>
  <si>
    <t>напряжение питания</t>
  </si>
  <si>
    <t>ξ</t>
  </si>
  <si>
    <t>mA</t>
  </si>
  <si>
    <t>Roe</t>
  </si>
  <si>
    <t>ohm</t>
  </si>
  <si>
    <t>W</t>
  </si>
  <si>
    <t>подводимая мощность</t>
  </si>
  <si>
    <t>Pout</t>
  </si>
  <si>
    <t>мощность рассеивания</t>
  </si>
  <si>
    <t>ŋ</t>
  </si>
  <si>
    <t>Vdc</t>
  </si>
  <si>
    <t>Vsat</t>
  </si>
  <si>
    <t>напряжение насыщения</t>
  </si>
  <si>
    <t>коэфф. использования коллекторного/анодного напряжения</t>
  </si>
  <si>
    <t>максимальный ток коллектора/анода</t>
  </si>
  <si>
    <t>сопротивление нагрузки</t>
  </si>
  <si>
    <t>постоянный ток, потребляемый от источника питания</t>
  </si>
  <si>
    <t>Idc</t>
  </si>
  <si>
    <t>Pdis</t>
  </si>
  <si>
    <t>Pdc</t>
  </si>
  <si>
    <t>Ipeak</t>
  </si>
  <si>
    <t>http://www.ur5ffr.com/viewtopic.php?t=382</t>
  </si>
  <si>
    <t>Title</t>
  </si>
  <si>
    <t>3*ГУ-50</t>
  </si>
  <si>
    <t>Vpeak</t>
  </si>
  <si>
    <t>максимальное напряжениена коллекторе/аноде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</si>
</sst>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1" fillId="2" borderId="0" xfId="0" applyFont="1" applyFill="1" applyProtection="1"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1" xfId="0" applyBorder="1"/>
    <xf numFmtId="0" fontId="3" fillId="0" borderId="0" xfId="1"/>
    <xf numFmtId="2" fontId="0" fillId="0" borderId="2" xfId="0" applyNumberFormat="1" applyBorder="1"/>
    <xf numFmtId="2" fontId="0" fillId="0" borderId="0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164" fontId="0" fillId="0" borderId="0" xfId="0" applyNumberFormat="1" applyBorder="1"/>
    <xf numFmtId="0" fontId="0" fillId="0" borderId="0" xfId="0" applyFill="1" applyBorder="1"/>
    <xf numFmtId="0" fontId="1" fillId="0" borderId="0" xfId="0" applyFont="1" applyBorder="1"/>
    <xf numFmtId="164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Alignment="1" applyProtection="1">
      <alignment horizontal="right"/>
      <protection locked="0"/>
    </xf>
    <xf numFmtId="0" fontId="1" fillId="0" borderId="0" xfId="0" applyFont="1"/>
    <xf numFmtId="0" fontId="1" fillId="0" borderId="0" xfId="0" applyFon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12</xdr:row>
      <xdr:rowOff>95250</xdr:rowOff>
    </xdr:from>
    <xdr:to>
      <xdr:col>16</xdr:col>
      <xdr:colOff>370867</xdr:colOff>
      <xdr:row>27</xdr:row>
      <xdr:rowOff>85369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7800" y="2219325"/>
          <a:ext cx="4866667" cy="28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418727</xdr:colOff>
      <xdr:row>11</xdr:row>
      <xdr:rowOff>0</xdr:rowOff>
    </xdr:from>
    <xdr:to>
      <xdr:col>16</xdr:col>
      <xdr:colOff>142640</xdr:colOff>
      <xdr:row>26</xdr:row>
      <xdr:rowOff>180619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527" y="2124075"/>
          <a:ext cx="4600713" cy="28476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168717</xdr:colOff>
      <xdr:row>3</xdr:row>
      <xdr:rowOff>133350</xdr:rowOff>
    </xdr:from>
    <xdr:to>
      <xdr:col>15</xdr:col>
      <xdr:colOff>392650</xdr:colOff>
      <xdr:row>19</xdr:row>
      <xdr:rowOff>123469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4717" y="704850"/>
          <a:ext cx="3271933" cy="28476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159192</xdr:colOff>
      <xdr:row>3</xdr:row>
      <xdr:rowOff>149169</xdr:rowOff>
    </xdr:from>
    <xdr:to>
      <xdr:col>15</xdr:col>
      <xdr:colOff>383125</xdr:colOff>
      <xdr:row>19</xdr:row>
      <xdr:rowOff>69549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5192" y="720669"/>
          <a:ext cx="3271933" cy="2777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r5ffr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ur5ffr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ur5ffr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ur5ffr.co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r5ffr.com/viewtopic.php?t=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0"/>
  <sheetViews>
    <sheetView tabSelected="1" workbookViewId="0">
      <selection activeCell="D25" sqref="D25"/>
    </sheetView>
  </sheetViews>
  <sheetFormatPr defaultRowHeight="15" x14ac:dyDescent="0.25"/>
  <sheetData>
    <row r="2" spans="1:18" s="1" customFormat="1" x14ac:dyDescent="0.25">
      <c r="B2" s="1" t="s">
        <v>27</v>
      </c>
      <c r="G2" s="1" t="s">
        <v>21</v>
      </c>
      <c r="J2" s="10" t="s">
        <v>28</v>
      </c>
    </row>
    <row r="4" spans="1:18" ht="15.75" thickBot="1" x14ac:dyDescent="0.3"/>
    <row r="5" spans="1:18" ht="15.75" thickBot="1" x14ac:dyDescent="0.3">
      <c r="A5" t="s">
        <v>0</v>
      </c>
      <c r="B5" s="3">
        <v>14.7</v>
      </c>
      <c r="C5" t="s">
        <v>43</v>
      </c>
      <c r="J5" s="9" t="s">
        <v>3</v>
      </c>
      <c r="K5" s="4">
        <v>1</v>
      </c>
      <c r="L5" s="4">
        <v>2</v>
      </c>
      <c r="M5" s="4">
        <v>3</v>
      </c>
      <c r="N5" s="4">
        <v>4</v>
      </c>
      <c r="O5" s="4">
        <v>5</v>
      </c>
      <c r="P5" s="4">
        <v>6</v>
      </c>
      <c r="Q5" s="4">
        <v>7</v>
      </c>
      <c r="R5" s="5">
        <v>8</v>
      </c>
    </row>
    <row r="6" spans="1:18" x14ac:dyDescent="0.25">
      <c r="A6" t="s">
        <v>30</v>
      </c>
      <c r="B6" s="3">
        <v>0.1</v>
      </c>
      <c r="C6" t="s">
        <v>48</v>
      </c>
      <c r="D6" t="s">
        <v>31</v>
      </c>
      <c r="J6" s="6">
        <v>1</v>
      </c>
      <c r="K6" s="11">
        <f>POWER($B$5,2)*$B$7*POWER($J6/2/K$5,2)/(2*POWER($B$7*POWER($J6/2/K$5,2)+$B$6,2))</f>
        <v>8.5069444444444429</v>
      </c>
      <c r="L6" s="13">
        <f>POWER($B$5,2)*$B$7*POWER($J6/2/L$5,2)/(2*POWER($B$7*POWER($J6/2/L$5,2)+$B$6,2))</f>
        <v>32.463493780421842</v>
      </c>
      <c r="M6" s="13">
        <f>POWER($B$5,2)*$B$7*POWER($J6/2/M$5,2)/(2*POWER($B$7*POWER($J6/2/M$5,2)+$B$6,2))</f>
        <v>67.693598240142563</v>
      </c>
      <c r="N6" s="13">
        <f>POWER($B$5,2)*$B$7*POWER($J6/2/N$5,2)/(2*POWER($B$7*POWER($J6/2/N$5,2)+$B$6,2))</f>
        <v>108.69171570846535</v>
      </c>
      <c r="O6" s="13">
        <f>POWER($B$5,2)*$B$7*POWER($J6/2/O$5,2)/(2*POWER($B$7*POWER($J6/2/O$5,2)+$B$6,2))</f>
        <v>150.06249999999997</v>
      </c>
      <c r="P6" s="13">
        <f>POWER($B$5,2)*$B$7*POWER($J6/2/P$5,2)/(2*POWER($B$7*POWER($J6/2/P$5,2)+$B$6,2))</f>
        <v>187.57088846880904</v>
      </c>
      <c r="Q6" s="13">
        <f>POWER($B$5,2)*$B$7*POWER($J6/2/Q$5,2)/(2*POWER($B$7*POWER($J6/2/Q$5,2)+$B$6,2))</f>
        <v>218.58093043995231</v>
      </c>
      <c r="R6" s="14">
        <f>POWER($B$5,2)*$B$7*POWER($J6/2/R$5,2)/(2*POWER($B$7*POWER($J6/2/R$5,2)+$B$6,2))</f>
        <v>241.97530864197532</v>
      </c>
    </row>
    <row r="7" spans="1:18" x14ac:dyDescent="0.25">
      <c r="A7" t="s">
        <v>1</v>
      </c>
      <c r="B7" s="3">
        <v>50</v>
      </c>
      <c r="C7" t="s">
        <v>48</v>
      </c>
      <c r="J7" s="6">
        <v>2</v>
      </c>
      <c r="K7" s="15">
        <f>POWER($B$5,2)*$B$7*POWER($J7/2/K$5,2)/(2*POWER($B$7*POWER($J7/2/K$5,2)+$B$6,2))</f>
        <v>2.1522822618236574</v>
      </c>
      <c r="L7" s="12">
        <f>POWER($B$5,2)*$B$7*POWER($J7/2/L$5,2)/(2*POWER($B$7*POWER($J7/2/L$5,2)+$B$6,2))</f>
        <v>8.5069444444444429</v>
      </c>
      <c r="M7" s="12">
        <f>POWER($B$5,2)*$B$7*POWER($J7/2/M$5,2)/(2*POWER($B$7*POWER($J7/2/M$5,2)+$B$6,2))</f>
        <v>18.766428259887835</v>
      </c>
      <c r="N7" s="12">
        <f>POWER($B$5,2)*$B$7*POWER($J7/2/N$5,2)/(2*POWER($B$7*POWER($J7/2/N$5,2)+$B$6,2))</f>
        <v>32.463493780421842</v>
      </c>
      <c r="O7" s="12">
        <f>POWER($B$5,2)*$B$7*POWER($J7/2/O$5,2)/(2*POWER($B$7*POWER($J7/2/O$5,2)+$B$6,2))</f>
        <v>48.999999999999979</v>
      </c>
      <c r="P7" s="12">
        <f>POWER($B$5,2)*$B$7*POWER($J7/2/P$5,2)/(2*POWER($B$7*POWER($J7/2/P$5,2)+$B$6,2))</f>
        <v>67.693598240142563</v>
      </c>
      <c r="Q7" s="12">
        <f>POWER($B$5,2)*$B$7*POWER($J7/2/Q$5,2)/(2*POWER($B$7*POWER($J7/2/Q$5,2)+$B$6,2))</f>
        <v>87.826599779031881</v>
      </c>
      <c r="R7" s="16">
        <f>POWER($B$5,2)*$B$7*POWER($J7/2/R$5,2)/(2*POWER($B$7*POWER($J7/2/R$5,2)+$B$6,2))</f>
        <v>108.69171570846535</v>
      </c>
    </row>
    <row r="8" spans="1:18" x14ac:dyDescent="0.25">
      <c r="J8" s="6">
        <v>3</v>
      </c>
      <c r="K8" s="15">
        <f>POWER($B$5,2)*$B$7*POWER($J8/2/K$5,2)/(2*POWER($B$7*POWER($J8/2/K$5,2)+$B$6,2))</f>
        <v>0.95869489603084213</v>
      </c>
      <c r="L8" s="12">
        <f>POWER($B$5,2)*$B$7*POWER($J8/2/L$5,2)/(2*POWER($B$7*POWER($J8/2/L$5,2)+$B$6,2))</f>
        <v>3.8144269641412749</v>
      </c>
      <c r="M8" s="12">
        <f>POWER($B$5,2)*$B$7*POWER($J8/2/M$5,2)/(2*POWER($B$7*POWER($J8/2/M$5,2)+$B$6,2))</f>
        <v>8.5069444444444429</v>
      </c>
      <c r="N8" s="12">
        <f>POWER($B$5,2)*$B$7*POWER($J8/2/N$5,2)/(2*POWER($B$7*POWER($J8/2/N$5,2)+$B$6,2))</f>
        <v>14.938462117505361</v>
      </c>
      <c r="O8" s="12">
        <f>POWER($B$5,2)*$B$7*POWER($J8/2/O$5,2)/(2*POWER($B$7*POWER($J8/2/O$5,2)+$B$6,2))</f>
        <v>22.97743383742911</v>
      </c>
      <c r="P8" s="12">
        <f>POWER($B$5,2)*$B$7*POWER($J8/2/P$5,2)/(2*POWER($B$7*POWER($J8/2/P$5,2)+$B$6,2))</f>
        <v>32.463493780421842</v>
      </c>
      <c r="Q8" s="12">
        <f>POWER($B$5,2)*$B$7*POWER($J8/2/Q$5,2)/(2*POWER($B$7*POWER($J8/2/Q$5,2)+$B$6,2))</f>
        <v>43.213265158792574</v>
      </c>
      <c r="R8" s="16">
        <f>POWER($B$5,2)*$B$7*POWER($J8/2/R$5,2)/(2*POWER($B$7*POWER($J8/2/R$5,2)+$B$6,2))</f>
        <v>55.026699044578088</v>
      </c>
    </row>
    <row r="9" spans="1:18" ht="15.75" thickBot="1" x14ac:dyDescent="0.3">
      <c r="A9" t="s">
        <v>4</v>
      </c>
      <c r="B9" s="3">
        <v>1</v>
      </c>
      <c r="D9" t="s">
        <v>35</v>
      </c>
      <c r="J9" s="8">
        <v>4</v>
      </c>
      <c r="K9" s="17">
        <f>POWER($B$5,2)*$B$7*POWER($J9/2/K$5,2)/(2*POWER($B$7*POWER($J9/2/K$5,2)+$B$6,2))</f>
        <v>0.53968517989880616</v>
      </c>
      <c r="L9" s="18">
        <f>POWER($B$5,2)*$B$7*POWER($J9/2/L$5,2)/(2*POWER($B$7*POWER($J9/2/L$5,2)+$B$6,2))</f>
        <v>2.1522822618236574</v>
      </c>
      <c r="M9" s="18">
        <f>POWER($B$5,2)*$B$7*POWER($J9/2/M$5,2)/(2*POWER($B$7*POWER($J9/2/M$5,2)+$B$6,2))</f>
        <v>4.8185603807257573</v>
      </c>
      <c r="N9" s="18">
        <f>POWER($B$5,2)*$B$7*POWER($J9/2/N$5,2)/(2*POWER($B$7*POWER($J9/2/N$5,2)+$B$6,2))</f>
        <v>8.5069444444444429</v>
      </c>
      <c r="O9" s="18">
        <f>POWER($B$5,2)*$B$7*POWER($J9/2/O$5,2)/(2*POWER($B$7*POWER($J9/2/O$5,2)+$B$6,2))</f>
        <v>13.174211248285317</v>
      </c>
      <c r="P9" s="18">
        <f>POWER($B$5,2)*$B$7*POWER($J9/2/P$5,2)/(2*POWER($B$7*POWER($J9/2/P$5,2)+$B$6,2))</f>
        <v>18.766428259887835</v>
      </c>
      <c r="Q9" s="18">
        <f>POWER($B$5,2)*$B$7*POWER($J9/2/Q$5,2)/(2*POWER($B$7*POWER($J9/2/Q$5,2)+$B$6,2))</f>
        <v>25.220101652986454</v>
      </c>
      <c r="R9" s="19">
        <f>POWER($B$5,2)*$B$7*POWER($J9/2/R$5,2)/(2*POWER($B$7*POWER($J9/2/R$5,2)+$B$6,2))</f>
        <v>32.463493780421842</v>
      </c>
    </row>
    <row r="10" spans="1:18" x14ac:dyDescent="0.25">
      <c r="A10" t="s">
        <v>5</v>
      </c>
      <c r="B10" s="3">
        <v>3</v>
      </c>
      <c r="D10" t="s">
        <v>36</v>
      </c>
    </row>
    <row r="12" spans="1:18" hidden="1" x14ac:dyDescent="0.25">
      <c r="A12" t="s">
        <v>29</v>
      </c>
      <c r="B12">
        <f>B7*POWER(B9/2/B10,2)</f>
        <v>1.3888888888888888</v>
      </c>
    </row>
    <row r="13" spans="1:18" x14ac:dyDescent="0.25">
      <c r="A13" t="s">
        <v>8</v>
      </c>
      <c r="B13" s="2">
        <f>B5*B5*B12/(2*POWER(B12+B6,2))</f>
        <v>67.693598240142563</v>
      </c>
      <c r="C13" t="s">
        <v>49</v>
      </c>
      <c r="D13" t="s">
        <v>10</v>
      </c>
    </row>
    <row r="14" spans="1:18" x14ac:dyDescent="0.25">
      <c r="A14" t="s">
        <v>32</v>
      </c>
      <c r="B14" s="2">
        <f>SQRT(B13*2*B12)+B5</f>
        <v>28.41268656716418</v>
      </c>
      <c r="C14" t="s">
        <v>43</v>
      </c>
      <c r="D14" t="s">
        <v>42</v>
      </c>
    </row>
    <row r="15" spans="1:18" x14ac:dyDescent="0.25">
      <c r="A15" t="s">
        <v>39</v>
      </c>
      <c r="B15" s="2">
        <f>SQRT(B13*2*B12)/B12</f>
        <v>9.8731343283582085</v>
      </c>
      <c r="C15" t="s">
        <v>12</v>
      </c>
      <c r="D15" t="s">
        <v>37</v>
      </c>
    </row>
    <row r="16" spans="1:18" x14ac:dyDescent="0.25">
      <c r="A16" t="s">
        <v>40</v>
      </c>
      <c r="B16" s="2">
        <f>0.318*B5/(B12+B6)</f>
        <v>3.1396567164179103</v>
      </c>
      <c r="C16" t="s">
        <v>12</v>
      </c>
      <c r="D16" t="s">
        <v>38</v>
      </c>
    </row>
    <row r="17" spans="1:4" x14ac:dyDescent="0.25">
      <c r="A17" t="s">
        <v>41</v>
      </c>
      <c r="B17" s="2">
        <f>(B19-B13)/2</f>
        <v>12.306154611271999</v>
      </c>
      <c r="C17" t="s">
        <v>49</v>
      </c>
      <c r="D17" t="s">
        <v>16</v>
      </c>
    </row>
    <row r="18" spans="1:4" x14ac:dyDescent="0.25">
      <c r="A18" t="s">
        <v>17</v>
      </c>
      <c r="B18" s="2">
        <f>B16*2</f>
        <v>6.2793134328358207</v>
      </c>
      <c r="C18" t="s">
        <v>12</v>
      </c>
      <c r="D18" t="s">
        <v>19</v>
      </c>
    </row>
    <row r="19" spans="1:4" x14ac:dyDescent="0.25">
      <c r="A19" t="s">
        <v>18</v>
      </c>
      <c r="B19" s="2">
        <f>2*B5*B16</f>
        <v>92.305907462686562</v>
      </c>
      <c r="C19" t="s">
        <v>49</v>
      </c>
      <c r="D19" t="s">
        <v>20</v>
      </c>
    </row>
    <row r="20" spans="1:4" x14ac:dyDescent="0.25">
      <c r="A20" t="s">
        <v>22</v>
      </c>
      <c r="B20" s="2">
        <f>100*B13/B19</f>
        <v>73.336149441471889</v>
      </c>
      <c r="C20" t="s">
        <v>23</v>
      </c>
    </row>
  </sheetData>
  <sheetProtection sheet="1" objects="1" scenarios="1"/>
  <hyperlinks>
    <hyperlink ref="J2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0"/>
  <sheetViews>
    <sheetView workbookViewId="0">
      <selection activeCell="G20" sqref="G20"/>
    </sheetView>
  </sheetViews>
  <sheetFormatPr defaultRowHeight="15" x14ac:dyDescent="0.25"/>
  <sheetData>
    <row r="2" spans="1:18" s="1" customFormat="1" x14ac:dyDescent="0.25">
      <c r="B2" s="1" t="s">
        <v>27</v>
      </c>
      <c r="G2" s="1" t="s">
        <v>21</v>
      </c>
      <c r="J2" s="10" t="s">
        <v>28</v>
      </c>
    </row>
    <row r="4" spans="1:18" ht="15.75" thickBot="1" x14ac:dyDescent="0.3"/>
    <row r="5" spans="1:18" ht="15.75" thickBot="1" x14ac:dyDescent="0.3">
      <c r="A5" t="s">
        <v>0</v>
      </c>
      <c r="B5" s="3">
        <v>24</v>
      </c>
      <c r="C5" t="s">
        <v>43</v>
      </c>
      <c r="J5" s="9" t="s">
        <v>3</v>
      </c>
      <c r="K5" s="4">
        <v>1</v>
      </c>
      <c r="L5" s="4">
        <v>2</v>
      </c>
      <c r="M5" s="4">
        <v>3</v>
      </c>
      <c r="N5" s="4">
        <v>4</v>
      </c>
      <c r="O5" s="4">
        <v>5</v>
      </c>
      <c r="P5" s="4">
        <v>6</v>
      </c>
      <c r="Q5" s="4">
        <v>7</v>
      </c>
      <c r="R5" s="5">
        <v>8</v>
      </c>
    </row>
    <row r="6" spans="1:18" x14ac:dyDescent="0.25">
      <c r="A6" t="s">
        <v>24</v>
      </c>
      <c r="B6" s="3">
        <v>1.8</v>
      </c>
      <c r="C6" t="s">
        <v>43</v>
      </c>
      <c r="D6" t="s">
        <v>25</v>
      </c>
      <c r="J6" s="6">
        <v>1</v>
      </c>
      <c r="K6" s="11">
        <f>POWER($B$5-$B$6,2)/(2*$B$7*POWER($J6/2/K$5,2))</f>
        <v>19.7136</v>
      </c>
      <c r="L6" s="13">
        <f>POWER($B$5-$B$6,2)/(2*$B$7*POWER($J6/2/L$5,2))</f>
        <v>78.854399999999998</v>
      </c>
      <c r="M6" s="13">
        <f>POWER($B$5-$B$6,2)/(2*$B$7*POWER($J6/2/M$5,2))</f>
        <v>177.42240000000001</v>
      </c>
      <c r="N6" s="13">
        <f>POWER($B$5-$B$6,2)/(2*$B$7*POWER($J6/2/N$5,2))</f>
        <v>315.41759999999999</v>
      </c>
      <c r="O6" s="13">
        <f>POWER($B$5-$B$6,2)/(2*$B$7*POWER($J6/2/O$5,2))</f>
        <v>492.83999999999986</v>
      </c>
      <c r="P6" s="13">
        <f>POWER($B$5-$B$6,2)/(2*$B$7*POWER($J6/2/P$5,2))</f>
        <v>709.68960000000004</v>
      </c>
      <c r="Q6" s="13">
        <f>POWER($B$5-$B$6,2)/(2*$B$7*POWER($J6/2/Q$5,2))</f>
        <v>965.96639999999991</v>
      </c>
      <c r="R6" s="14">
        <f>POWER($B$5-$B$6,2)/(2*$B$7*POWER($J6/2/R$5,2))</f>
        <v>1261.6704</v>
      </c>
    </row>
    <row r="7" spans="1:18" x14ac:dyDescent="0.25">
      <c r="A7" t="s">
        <v>1</v>
      </c>
      <c r="B7" s="3">
        <v>50</v>
      </c>
      <c r="C7" t="s">
        <v>48</v>
      </c>
      <c r="J7" s="6">
        <v>2</v>
      </c>
      <c r="K7" s="15">
        <f>POWER($B$5-$B$6,2)/(2*$B$7*POWER($J7/2/K$5,2))</f>
        <v>4.9283999999999999</v>
      </c>
      <c r="L7" s="12">
        <f>POWER($B$5-$B$6,2)/(2*$B$7*POWER($J7/2/L$5,2))</f>
        <v>19.7136</v>
      </c>
      <c r="M7" s="12">
        <f>POWER($B$5-$B$6,2)/(2*$B$7*POWER($J7/2/M$5,2))</f>
        <v>44.355600000000003</v>
      </c>
      <c r="N7" s="12">
        <f>POWER($B$5-$B$6,2)/(2*$B$7*POWER($J7/2/N$5,2))</f>
        <v>78.854399999999998</v>
      </c>
      <c r="O7" s="12">
        <f>POWER($B$5-$B$6,2)/(2*$B$7*POWER($J7/2/O$5,2))</f>
        <v>123.20999999999997</v>
      </c>
      <c r="P7" s="12">
        <f>POWER($B$5-$B$6,2)/(2*$B$7*POWER($J7/2/P$5,2))</f>
        <v>177.42240000000001</v>
      </c>
      <c r="Q7" s="12">
        <f>POWER($B$5-$B$6,2)/(2*$B$7*POWER($J7/2/Q$5,2))</f>
        <v>241.49159999999998</v>
      </c>
      <c r="R7" s="16">
        <f>POWER($B$5-$B$6,2)/(2*$B$7*POWER($J7/2/R$5,2))</f>
        <v>315.41759999999999</v>
      </c>
    </row>
    <row r="8" spans="1:18" x14ac:dyDescent="0.25">
      <c r="J8" s="6">
        <v>3</v>
      </c>
      <c r="K8" s="15">
        <f>POWER($B$5-$B$6,2)/(2*$B$7*POWER($J8/2/K$5,2))</f>
        <v>2.1903999999999999</v>
      </c>
      <c r="L8" s="12">
        <f>POWER($B$5-$B$6,2)/(2*$B$7*POWER($J8/2/L$5,2))</f>
        <v>8.7615999999999996</v>
      </c>
      <c r="M8" s="12">
        <f>POWER($B$5-$B$6,2)/(2*$B$7*POWER($J8/2/M$5,2))</f>
        <v>19.7136</v>
      </c>
      <c r="N8" s="12">
        <f>POWER($B$5-$B$6,2)/(2*$B$7*POWER($J8/2/N$5,2))</f>
        <v>35.046399999999998</v>
      </c>
      <c r="O8" s="12">
        <f>POWER($B$5-$B$6,2)/(2*$B$7*POWER($J8/2/O$5,2))</f>
        <v>54.76</v>
      </c>
      <c r="P8" s="12">
        <f>POWER($B$5-$B$6,2)/(2*$B$7*POWER($J8/2/P$5,2))</f>
        <v>78.854399999999998</v>
      </c>
      <c r="Q8" s="12">
        <f>POWER($B$5-$B$6,2)/(2*$B$7*POWER($J8/2/Q$5,2))</f>
        <v>107.3296</v>
      </c>
      <c r="R8" s="16">
        <f>POWER($B$5-$B$6,2)/(2*$B$7*POWER($J8/2/R$5,2))</f>
        <v>140.18559999999999</v>
      </c>
    </row>
    <row r="9" spans="1:18" ht="15.75" thickBot="1" x14ac:dyDescent="0.3">
      <c r="A9" t="s">
        <v>4</v>
      </c>
      <c r="B9" s="3">
        <v>1</v>
      </c>
      <c r="D9" t="s">
        <v>35</v>
      </c>
      <c r="J9" s="8">
        <v>4</v>
      </c>
      <c r="K9" s="17">
        <f>POWER($B$5-$B$6,2)/(2*$B$7*POWER($J9/2/K$5,2))</f>
        <v>1.2321</v>
      </c>
      <c r="L9" s="18">
        <f>POWER($B$5-$B$6,2)/(2*$B$7*POWER($J9/2/L$5,2))</f>
        <v>4.9283999999999999</v>
      </c>
      <c r="M9" s="18">
        <f>POWER($B$5-$B$6,2)/(2*$B$7*POWER($J9/2/M$5,2))</f>
        <v>11.088900000000001</v>
      </c>
      <c r="N9" s="18">
        <f>POWER($B$5-$B$6,2)/(2*$B$7*POWER($J9/2/N$5,2))</f>
        <v>19.7136</v>
      </c>
      <c r="O9" s="18">
        <f>POWER($B$5-$B$6,2)/(2*$B$7*POWER($J9/2/O$5,2))</f>
        <v>30.802499999999991</v>
      </c>
      <c r="P9" s="18">
        <f>POWER($B$5-$B$6,2)/(2*$B$7*POWER($J9/2/P$5,2))</f>
        <v>44.355600000000003</v>
      </c>
      <c r="Q9" s="18">
        <f>POWER($B$5-$B$6,2)/(2*$B$7*POWER($J9/2/Q$5,2))</f>
        <v>60.372899999999994</v>
      </c>
      <c r="R9" s="19">
        <f>POWER($B$5-$B$6,2)/(2*$B$7*POWER($J9/2/R$5,2))</f>
        <v>78.854399999999998</v>
      </c>
    </row>
    <row r="10" spans="1:18" x14ac:dyDescent="0.25">
      <c r="A10" t="s">
        <v>5</v>
      </c>
      <c r="B10" s="3">
        <v>1</v>
      </c>
      <c r="D10" t="s">
        <v>36</v>
      </c>
    </row>
    <row r="12" spans="1:18" hidden="1" x14ac:dyDescent="0.25">
      <c r="A12" t="s">
        <v>29</v>
      </c>
      <c r="B12">
        <f>B7*POWER(B9/2/B10,2)</f>
        <v>12.5</v>
      </c>
    </row>
    <row r="13" spans="1:18" x14ac:dyDescent="0.25">
      <c r="A13" t="s">
        <v>8</v>
      </c>
      <c r="B13" s="2">
        <f>POWER(B5-B6,2)/(2*B12)</f>
        <v>19.7136</v>
      </c>
      <c r="C13" t="s">
        <v>49</v>
      </c>
      <c r="D13" t="s">
        <v>10</v>
      </c>
    </row>
    <row r="14" spans="1:18" x14ac:dyDescent="0.25">
      <c r="A14" t="s">
        <v>33</v>
      </c>
      <c r="B14" s="1">
        <f>2*B5-B6</f>
        <v>46.2</v>
      </c>
      <c r="C14" t="s">
        <v>43</v>
      </c>
      <c r="D14" t="s">
        <v>34</v>
      </c>
    </row>
    <row r="15" spans="1:18" x14ac:dyDescent="0.25">
      <c r="A15" t="s">
        <v>9</v>
      </c>
      <c r="B15" s="2">
        <f>(B5-B6)/B12</f>
        <v>1.776</v>
      </c>
      <c r="C15" t="s">
        <v>12</v>
      </c>
      <c r="D15" t="s">
        <v>11</v>
      </c>
    </row>
    <row r="16" spans="1:18" x14ac:dyDescent="0.25">
      <c r="A16" t="s">
        <v>13</v>
      </c>
      <c r="B16" s="2">
        <f>0.318*(B5-B6)/B12</f>
        <v>0.56476799999999994</v>
      </c>
      <c r="C16" t="s">
        <v>12</v>
      </c>
      <c r="D16" t="s">
        <v>14</v>
      </c>
    </row>
    <row r="17" spans="1:4" x14ac:dyDescent="0.25">
      <c r="A17" t="s">
        <v>15</v>
      </c>
      <c r="B17" s="2">
        <f>(B19-B13)/2</f>
        <v>3.6976319999999987</v>
      </c>
      <c r="C17" t="s">
        <v>49</v>
      </c>
      <c r="D17" t="s">
        <v>16</v>
      </c>
    </row>
    <row r="18" spans="1:4" x14ac:dyDescent="0.25">
      <c r="A18" t="s">
        <v>17</v>
      </c>
      <c r="B18" s="2">
        <f>B16*2</f>
        <v>1.1295359999999999</v>
      </c>
      <c r="C18" t="s">
        <v>12</v>
      </c>
      <c r="D18" t="s">
        <v>19</v>
      </c>
    </row>
    <row r="19" spans="1:4" x14ac:dyDescent="0.25">
      <c r="A19" t="s">
        <v>18</v>
      </c>
      <c r="B19" s="2">
        <f>2*B5*B16</f>
        <v>27.108863999999997</v>
      </c>
      <c r="C19" t="s">
        <v>49</v>
      </c>
      <c r="D19" t="s">
        <v>20</v>
      </c>
    </row>
    <row r="20" spans="1:4" x14ac:dyDescent="0.25">
      <c r="A20" t="s">
        <v>22</v>
      </c>
      <c r="B20" s="2">
        <f>100*B13/B19</f>
        <v>72.720125786163521</v>
      </c>
      <c r="C20" t="s">
        <v>23</v>
      </c>
    </row>
  </sheetData>
  <sheetProtection sheet="1" objects="1" scenarios="1"/>
  <hyperlinks>
    <hyperlink ref="J2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9"/>
  <sheetViews>
    <sheetView workbookViewId="0">
      <selection activeCell="C19" sqref="C19"/>
    </sheetView>
  </sheetViews>
  <sheetFormatPr defaultRowHeight="15" x14ac:dyDescent="0.25"/>
  <sheetData>
    <row r="2" spans="1:19" s="1" customFormat="1" x14ac:dyDescent="0.25">
      <c r="B2" s="1" t="s">
        <v>26</v>
      </c>
      <c r="G2" s="1" t="s">
        <v>21</v>
      </c>
      <c r="K2" s="10" t="s">
        <v>28</v>
      </c>
    </row>
    <row r="5" spans="1:19" x14ac:dyDescent="0.25">
      <c r="A5" t="s">
        <v>0</v>
      </c>
      <c r="B5" s="3">
        <v>12</v>
      </c>
      <c r="C5" t="s">
        <v>43</v>
      </c>
      <c r="K5" s="7"/>
      <c r="L5" s="7"/>
      <c r="M5" s="7"/>
      <c r="N5" s="7"/>
      <c r="O5" s="7"/>
      <c r="P5" s="7"/>
      <c r="Q5" s="7"/>
      <c r="R5" s="7"/>
      <c r="S5" s="7"/>
    </row>
    <row r="6" spans="1:19" x14ac:dyDescent="0.25">
      <c r="A6" t="s">
        <v>30</v>
      </c>
      <c r="B6" s="3">
        <v>0.5</v>
      </c>
      <c r="C6" t="s">
        <v>48</v>
      </c>
      <c r="D6" t="s">
        <v>31</v>
      </c>
      <c r="K6" s="7"/>
      <c r="L6" s="7"/>
      <c r="M6" s="7"/>
      <c r="N6" s="7"/>
      <c r="O6" s="7"/>
      <c r="P6" s="7"/>
      <c r="Q6" s="7"/>
      <c r="R6" s="7"/>
      <c r="S6" s="7"/>
    </row>
    <row r="7" spans="1:19" x14ac:dyDescent="0.25">
      <c r="A7" t="s">
        <v>1</v>
      </c>
      <c r="B7" s="3">
        <v>50</v>
      </c>
      <c r="C7" t="s">
        <v>48</v>
      </c>
      <c r="K7" s="7"/>
      <c r="L7" s="7"/>
      <c r="M7" s="7"/>
      <c r="N7" s="7"/>
      <c r="O7" s="7"/>
      <c r="P7" s="7"/>
      <c r="Q7" s="7"/>
      <c r="R7" s="7"/>
      <c r="S7" s="7"/>
    </row>
    <row r="8" spans="1:19" x14ac:dyDescent="0.25">
      <c r="K8" s="7"/>
      <c r="L8" s="7"/>
      <c r="M8" s="7"/>
      <c r="N8" s="7"/>
      <c r="O8" s="7"/>
      <c r="P8" s="7"/>
      <c r="Q8" s="7"/>
      <c r="R8" s="7"/>
      <c r="S8" s="7"/>
    </row>
    <row r="9" spans="1:19" x14ac:dyDescent="0.25">
      <c r="A9" t="s">
        <v>4</v>
      </c>
      <c r="B9" s="3">
        <v>1</v>
      </c>
      <c r="D9" t="s">
        <v>35</v>
      </c>
      <c r="K9" s="7"/>
      <c r="L9" s="7"/>
      <c r="M9" s="7"/>
      <c r="N9" s="7"/>
      <c r="O9" s="7"/>
      <c r="P9" s="7"/>
      <c r="Q9" s="7"/>
      <c r="R9" s="7"/>
      <c r="S9" s="7"/>
    </row>
    <row r="10" spans="1:19" x14ac:dyDescent="0.25">
      <c r="A10" t="s">
        <v>5</v>
      </c>
      <c r="B10" s="3">
        <v>2</v>
      </c>
      <c r="D10" t="s">
        <v>36</v>
      </c>
    </row>
    <row r="12" spans="1:19" hidden="1" x14ac:dyDescent="0.25">
      <c r="A12" t="s">
        <v>29</v>
      </c>
      <c r="B12">
        <f>POWER(B9/B10,2)*B7</f>
        <v>12.5</v>
      </c>
    </row>
    <row r="13" spans="1:19" x14ac:dyDescent="0.25">
      <c r="A13" t="s">
        <v>8</v>
      </c>
      <c r="B13" s="2">
        <f>B5^2*B12/(2*(B12+B6)^2)</f>
        <v>5.3254437869822482</v>
      </c>
      <c r="C13" t="s">
        <v>49</v>
      </c>
      <c r="D13" t="s">
        <v>10</v>
      </c>
    </row>
    <row r="14" spans="1:19" x14ac:dyDescent="0.25">
      <c r="A14" t="s">
        <v>33</v>
      </c>
      <c r="B14" s="2">
        <f>(2*B13*B12)^0.5+B5</f>
        <v>23.53846153846154</v>
      </c>
      <c r="C14" t="s">
        <v>43</v>
      </c>
      <c r="D14" t="s">
        <v>42</v>
      </c>
    </row>
    <row r="15" spans="1:19" x14ac:dyDescent="0.25">
      <c r="A15" t="s">
        <v>9</v>
      </c>
      <c r="B15" s="2">
        <f>2*(2*B13*B12)^0.5/B12</f>
        <v>1.846153846153846</v>
      </c>
      <c r="C15" t="s">
        <v>12</v>
      </c>
      <c r="D15" t="s">
        <v>37</v>
      </c>
    </row>
    <row r="16" spans="1:19" x14ac:dyDescent="0.25">
      <c r="A16" t="s">
        <v>13</v>
      </c>
      <c r="B16" s="2">
        <f>B15/PI()</f>
        <v>0.5876490206469982</v>
      </c>
      <c r="C16" t="s">
        <v>12</v>
      </c>
      <c r="D16" t="s">
        <v>38</v>
      </c>
    </row>
    <row r="17" spans="1:4" x14ac:dyDescent="0.25">
      <c r="A17" t="s">
        <v>15</v>
      </c>
      <c r="B17" s="2">
        <f>B18-B13</f>
        <v>1.7263444607817302</v>
      </c>
      <c r="C17" t="s">
        <v>49</v>
      </c>
      <c r="D17" t="s">
        <v>16</v>
      </c>
    </row>
    <row r="18" spans="1:4" x14ac:dyDescent="0.25">
      <c r="A18" t="s">
        <v>18</v>
      </c>
      <c r="B18" s="2">
        <f>B5*B16</f>
        <v>7.0517882477639784</v>
      </c>
      <c r="C18" t="s">
        <v>49</v>
      </c>
      <c r="D18" t="s">
        <v>20</v>
      </c>
    </row>
    <row r="19" spans="1:4" x14ac:dyDescent="0.25">
      <c r="A19" t="s">
        <v>22</v>
      </c>
      <c r="B19" s="2">
        <f>100*B13/B18</f>
        <v>75.519054172831559</v>
      </c>
      <c r="C19" t="s">
        <v>23</v>
      </c>
    </row>
  </sheetData>
  <sheetProtection sheet="1" objects="1" scenarios="1"/>
  <hyperlinks>
    <hyperlink ref="K2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9"/>
  <sheetViews>
    <sheetView workbookViewId="0">
      <selection activeCell="F11" sqref="F11"/>
    </sheetView>
  </sheetViews>
  <sheetFormatPr defaultRowHeight="15" x14ac:dyDescent="0.25"/>
  <sheetData>
    <row r="2" spans="1:19" s="1" customFormat="1" x14ac:dyDescent="0.25">
      <c r="B2" s="1" t="s">
        <v>26</v>
      </c>
      <c r="G2" s="1" t="s">
        <v>21</v>
      </c>
      <c r="K2" s="10" t="s">
        <v>28</v>
      </c>
    </row>
    <row r="5" spans="1:19" x14ac:dyDescent="0.25">
      <c r="A5" t="s">
        <v>0</v>
      </c>
      <c r="B5" s="3">
        <v>24</v>
      </c>
      <c r="C5" t="s">
        <v>43</v>
      </c>
      <c r="K5" s="7"/>
      <c r="L5" s="7"/>
      <c r="M5" s="7"/>
      <c r="N5" s="7"/>
      <c r="O5" s="7"/>
      <c r="P5" s="7"/>
      <c r="Q5" s="7"/>
      <c r="R5" s="7"/>
      <c r="S5" s="7"/>
    </row>
    <row r="6" spans="1:19" x14ac:dyDescent="0.25">
      <c r="A6" t="s">
        <v>24</v>
      </c>
      <c r="B6" s="3">
        <v>3</v>
      </c>
      <c r="C6" t="s">
        <v>43</v>
      </c>
      <c r="D6" t="s">
        <v>25</v>
      </c>
      <c r="K6" s="7"/>
      <c r="L6" s="7"/>
      <c r="M6" s="7"/>
      <c r="N6" s="7"/>
      <c r="O6" s="7"/>
      <c r="P6" s="7"/>
      <c r="Q6" s="7"/>
      <c r="R6" s="7"/>
      <c r="S6" s="7"/>
    </row>
    <row r="7" spans="1:19" x14ac:dyDescent="0.25">
      <c r="A7" t="s">
        <v>1</v>
      </c>
      <c r="B7" s="3">
        <v>50</v>
      </c>
      <c r="C7" t="s">
        <v>2</v>
      </c>
      <c r="K7" s="7"/>
      <c r="L7" s="7"/>
      <c r="M7" s="7"/>
      <c r="N7" s="7"/>
      <c r="O7" s="7"/>
      <c r="P7" s="7"/>
      <c r="Q7" s="7"/>
      <c r="R7" s="7"/>
      <c r="S7" s="7"/>
    </row>
    <row r="8" spans="1:19" x14ac:dyDescent="0.25">
      <c r="K8" s="7"/>
      <c r="L8" s="7"/>
      <c r="M8" s="7"/>
      <c r="N8" s="7"/>
      <c r="O8" s="7"/>
      <c r="P8" s="7"/>
      <c r="Q8" s="7"/>
      <c r="R8" s="7"/>
      <c r="S8" s="7"/>
    </row>
    <row r="9" spans="1:19" x14ac:dyDescent="0.25">
      <c r="A9" t="s">
        <v>4</v>
      </c>
      <c r="B9" s="3">
        <v>1</v>
      </c>
      <c r="D9" t="s">
        <v>6</v>
      </c>
      <c r="K9" s="7"/>
      <c r="L9" s="7"/>
      <c r="M9" s="7"/>
      <c r="N9" s="7"/>
      <c r="O9" s="7"/>
      <c r="P9" s="7"/>
      <c r="Q9" s="7"/>
      <c r="R9" s="7"/>
      <c r="S9" s="7"/>
    </row>
    <row r="10" spans="1:19" x14ac:dyDescent="0.25">
      <c r="A10" t="s">
        <v>5</v>
      </c>
      <c r="B10" s="3">
        <v>2</v>
      </c>
      <c r="D10" t="s">
        <v>7</v>
      </c>
    </row>
    <row r="12" spans="1:19" hidden="1" x14ac:dyDescent="0.25">
      <c r="A12" t="s">
        <v>29</v>
      </c>
      <c r="B12">
        <f>POWER(B9/B10,2)*B7</f>
        <v>12.5</v>
      </c>
    </row>
    <row r="13" spans="1:19" x14ac:dyDescent="0.25">
      <c r="A13" t="s">
        <v>8</v>
      </c>
      <c r="B13" s="2">
        <f>(B5-B6)^2/(2*B12)</f>
        <v>17.64</v>
      </c>
      <c r="C13" t="s">
        <v>49</v>
      </c>
      <c r="D13" t="s">
        <v>10</v>
      </c>
    </row>
    <row r="14" spans="1:19" x14ac:dyDescent="0.25">
      <c r="A14" t="s">
        <v>33</v>
      </c>
      <c r="B14" s="2">
        <f>2*B5-B6</f>
        <v>45</v>
      </c>
      <c r="C14" t="s">
        <v>43</v>
      </c>
      <c r="D14" t="s">
        <v>34</v>
      </c>
    </row>
    <row r="15" spans="1:19" x14ac:dyDescent="0.25">
      <c r="A15" t="s">
        <v>9</v>
      </c>
      <c r="B15" s="2">
        <f>2*(B5-B6)/B12</f>
        <v>3.36</v>
      </c>
      <c r="C15" t="s">
        <v>12</v>
      </c>
      <c r="D15" t="s">
        <v>11</v>
      </c>
    </row>
    <row r="16" spans="1:19" x14ac:dyDescent="0.25">
      <c r="A16" t="s">
        <v>13</v>
      </c>
      <c r="B16" s="2">
        <f>B15/PI()</f>
        <v>1.0695212175775366</v>
      </c>
      <c r="C16" t="s">
        <v>12</v>
      </c>
      <c r="D16" t="s">
        <v>14</v>
      </c>
    </row>
    <row r="17" spans="1:4" x14ac:dyDescent="0.25">
      <c r="A17" t="s">
        <v>15</v>
      </c>
      <c r="B17" s="2">
        <f>B18-B13</f>
        <v>8.0285092218608796</v>
      </c>
      <c r="C17" t="s">
        <v>49</v>
      </c>
      <c r="D17" t="s">
        <v>16</v>
      </c>
    </row>
    <row r="18" spans="1:4" x14ac:dyDescent="0.25">
      <c r="A18" t="s">
        <v>18</v>
      </c>
      <c r="B18" s="2">
        <f>B5*B16</f>
        <v>25.66850922186088</v>
      </c>
      <c r="C18" t="s">
        <v>49</v>
      </c>
      <c r="D18" t="s">
        <v>20</v>
      </c>
    </row>
    <row r="19" spans="1:4" x14ac:dyDescent="0.25">
      <c r="A19" t="s">
        <v>22</v>
      </c>
      <c r="B19" s="2">
        <f>100*B13/B18</f>
        <v>68.722339297276733</v>
      </c>
      <c r="C19" t="s">
        <v>23</v>
      </c>
    </row>
  </sheetData>
  <sheetProtection sheet="1" objects="1" scenarios="1"/>
  <hyperlinks>
    <hyperlink ref="K2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workbookViewId="0">
      <selection activeCell="C18" sqref="C18"/>
    </sheetView>
  </sheetViews>
  <sheetFormatPr defaultRowHeight="15" x14ac:dyDescent="0.25"/>
  <sheetData>
    <row r="2" spans="2:11" x14ac:dyDescent="0.25">
      <c r="B2" s="1" t="s">
        <v>26</v>
      </c>
      <c r="C2" s="1"/>
      <c r="D2" s="1"/>
      <c r="E2" s="1"/>
      <c r="F2" s="1"/>
      <c r="G2" s="1" t="s">
        <v>21</v>
      </c>
      <c r="H2" s="1"/>
      <c r="I2" s="1"/>
      <c r="J2" s="1"/>
      <c r="K2" s="10" t="s">
        <v>65</v>
      </c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0"/>
    </row>
    <row r="4" spans="2:11" x14ac:dyDescent="0.25">
      <c r="B4" s="25" t="s">
        <v>66</v>
      </c>
      <c r="C4" s="24" t="s">
        <v>67</v>
      </c>
    </row>
    <row r="5" spans="2:11" x14ac:dyDescent="0.25">
      <c r="B5" s="22" t="s">
        <v>54</v>
      </c>
      <c r="C5" s="23">
        <v>1000</v>
      </c>
      <c r="D5" s="7" t="s">
        <v>43</v>
      </c>
      <c r="E5" s="7" t="s">
        <v>44</v>
      </c>
      <c r="F5" s="7"/>
      <c r="G5" s="7"/>
      <c r="H5" s="7"/>
      <c r="I5" s="7"/>
      <c r="J5" s="7"/>
    </row>
    <row r="6" spans="2:11" x14ac:dyDescent="0.25">
      <c r="B6" s="22" t="s">
        <v>55</v>
      </c>
      <c r="C6" s="23">
        <v>120</v>
      </c>
      <c r="D6" s="7" t="s">
        <v>43</v>
      </c>
      <c r="E6" s="7" t="s">
        <v>56</v>
      </c>
      <c r="F6" s="7"/>
      <c r="G6" s="7"/>
      <c r="H6" s="7"/>
      <c r="I6" s="7"/>
      <c r="J6" s="7"/>
    </row>
    <row r="7" spans="2:11" x14ac:dyDescent="0.25">
      <c r="B7" s="22" t="s">
        <v>45</v>
      </c>
      <c r="C7" s="7">
        <f>(C5-C6)/C5</f>
        <v>0.88</v>
      </c>
      <c r="D7" s="7"/>
      <c r="E7" s="7" t="s">
        <v>57</v>
      </c>
      <c r="F7" s="7"/>
      <c r="G7" s="7"/>
      <c r="H7" s="7"/>
      <c r="I7" s="7"/>
      <c r="J7" s="7"/>
    </row>
    <row r="8" spans="2:11" x14ac:dyDescent="0.25">
      <c r="B8" s="26" t="s">
        <v>68</v>
      </c>
      <c r="C8" s="20">
        <f>2*C5-C6</f>
        <v>1880</v>
      </c>
      <c r="D8" s="7"/>
      <c r="E8" s="7" t="s">
        <v>69</v>
      </c>
      <c r="F8" s="7"/>
      <c r="G8" s="7"/>
      <c r="H8" s="7"/>
      <c r="I8" s="7"/>
      <c r="J8" s="7"/>
    </row>
    <row r="9" spans="2:11" x14ac:dyDescent="0.25">
      <c r="B9" s="7"/>
      <c r="C9" s="7"/>
      <c r="D9" s="7"/>
      <c r="E9" s="7"/>
      <c r="F9" s="7"/>
      <c r="G9" s="7"/>
      <c r="H9" s="7"/>
      <c r="I9" s="7"/>
      <c r="J9" s="7"/>
    </row>
    <row r="10" spans="2:11" x14ac:dyDescent="0.25">
      <c r="B10" s="7" t="s">
        <v>64</v>
      </c>
      <c r="C10" s="23">
        <v>1200</v>
      </c>
      <c r="D10" s="20">
        <f>1000*2*(C5-C6)/D11</f>
        <v>1173.3333333333333</v>
      </c>
      <c r="E10" s="20">
        <f>E12*PI()</f>
        <v>1193.8052083641214</v>
      </c>
      <c r="F10" s="20">
        <f>1000*F13*PI()/C5</f>
        <v>1256.6370614359171</v>
      </c>
      <c r="G10" s="20">
        <f>1000*2*(C5-C6)/G11</f>
        <v>1181.8181818181818</v>
      </c>
      <c r="H10" s="20">
        <f>1000*H15/(C5/PI()-(C5-C6)/4)</f>
        <v>1220.6300368984209</v>
      </c>
      <c r="I10" s="7" t="s">
        <v>46</v>
      </c>
      <c r="J10" s="7" t="s">
        <v>58</v>
      </c>
    </row>
    <row r="11" spans="2:11" x14ac:dyDescent="0.25">
      <c r="B11" s="7" t="s">
        <v>47</v>
      </c>
      <c r="C11" s="20">
        <f>2*1000*($C5-$C6)/C10</f>
        <v>1466.6666666666667</v>
      </c>
      <c r="D11" s="23">
        <v>1500</v>
      </c>
      <c r="E11" s="20">
        <f>2*1000*($C5-$C6)/E10</f>
        <v>1474.2773675880831</v>
      </c>
      <c r="F11" s="20">
        <f>2*1000*($C5-$C6)/F10</f>
        <v>1400.5634992086791</v>
      </c>
      <c r="G11" s="20">
        <f>(C5-C6)^2/(2*G14)</f>
        <v>1489.2307692307693</v>
      </c>
      <c r="H11" s="20">
        <f>2*1000*($C5-$C6)/H10</f>
        <v>1441.8783306955968</v>
      </c>
      <c r="I11" s="7" t="s">
        <v>48</v>
      </c>
      <c r="J11" s="7" t="s">
        <v>59</v>
      </c>
    </row>
    <row r="12" spans="2:11" x14ac:dyDescent="0.25">
      <c r="B12" s="7" t="s">
        <v>61</v>
      </c>
      <c r="C12" s="20">
        <f>C10/PI()</f>
        <v>381.9718634205488</v>
      </c>
      <c r="D12" s="20">
        <f>D10/PI()</f>
        <v>373.48359978898105</v>
      </c>
      <c r="E12" s="23">
        <v>380</v>
      </c>
      <c r="F12" s="20">
        <f>F10/PI()</f>
        <v>399.99999999999994</v>
      </c>
      <c r="G12" s="20">
        <f>G10/PI()</f>
        <v>376.18441094447991</v>
      </c>
      <c r="H12" s="20">
        <f>H10/PI()</f>
        <v>388.53860811765259</v>
      </c>
      <c r="I12" s="7" t="s">
        <v>46</v>
      </c>
      <c r="J12" s="21" t="s">
        <v>60</v>
      </c>
    </row>
    <row r="13" spans="2:11" x14ac:dyDescent="0.25">
      <c r="B13" s="7" t="s">
        <v>63</v>
      </c>
      <c r="C13" s="20">
        <f>$C5*C12/1000</f>
        <v>381.9718634205488</v>
      </c>
      <c r="D13" s="20">
        <f>$C5*D12/1000</f>
        <v>373.483599788981</v>
      </c>
      <c r="E13" s="20">
        <f>$C5*E12/1000</f>
        <v>380</v>
      </c>
      <c r="F13" s="23">
        <v>400</v>
      </c>
      <c r="G13" s="20">
        <f>$C5*G12/1000</f>
        <v>376.18441094447991</v>
      </c>
      <c r="H13" s="20">
        <f>$C5*H12/1000</f>
        <v>388.53860811765259</v>
      </c>
      <c r="I13" s="7" t="s">
        <v>49</v>
      </c>
      <c r="J13" s="7" t="s">
        <v>50</v>
      </c>
    </row>
    <row r="14" spans="2:11" x14ac:dyDescent="0.25">
      <c r="B14" s="7" t="s">
        <v>51</v>
      </c>
      <c r="C14" s="20">
        <f>($C5-$C6)^2/(2*C11)</f>
        <v>264</v>
      </c>
      <c r="D14" s="20">
        <f>($C5-$C6)^2/(2*D11)</f>
        <v>258.13333333333333</v>
      </c>
      <c r="E14" s="20">
        <f>($C5-$C6)^2/(2*E11)</f>
        <v>262.63714584010671</v>
      </c>
      <c r="F14" s="20">
        <f>($C5-$C6)^2/(2*F11)</f>
        <v>276.46015351590177</v>
      </c>
      <c r="G14" s="23">
        <v>260</v>
      </c>
      <c r="H14" s="20">
        <f>($C5-$C6)^2/(2*H11)</f>
        <v>268.53860811765264</v>
      </c>
      <c r="I14" s="7" t="s">
        <v>49</v>
      </c>
      <c r="J14" s="7" t="s">
        <v>10</v>
      </c>
    </row>
    <row r="15" spans="2:11" x14ac:dyDescent="0.25">
      <c r="B15" s="7" t="s">
        <v>62</v>
      </c>
      <c r="C15" s="20">
        <f>C13-C14</f>
        <v>117.9718634205488</v>
      </c>
      <c r="D15" s="20">
        <f>D13-D14</f>
        <v>115.35026645564767</v>
      </c>
      <c r="E15" s="20">
        <f>E13-E14</f>
        <v>117.36285415989329</v>
      </c>
      <c r="F15" s="20">
        <f t="shared" ref="F15" si="0">F13-F14</f>
        <v>123.53984648409823</v>
      </c>
      <c r="G15" s="20">
        <f>G13-G14</f>
        <v>116.18441094447991</v>
      </c>
      <c r="H15" s="23">
        <v>120</v>
      </c>
      <c r="I15" s="7" t="s">
        <v>49</v>
      </c>
      <c r="J15" s="7" t="s">
        <v>52</v>
      </c>
    </row>
    <row r="16" spans="2:11" x14ac:dyDescent="0.25">
      <c r="B16" s="7" t="s">
        <v>53</v>
      </c>
      <c r="C16" s="20">
        <f t="shared" ref="C16:H16" si="1">C14*100/C13</f>
        <v>69.115038378975456</v>
      </c>
      <c r="D16" s="20">
        <f t="shared" si="1"/>
        <v>69.115038378975456</v>
      </c>
      <c r="E16" s="20">
        <f t="shared" si="1"/>
        <v>69.115038378975456</v>
      </c>
      <c r="F16" s="20">
        <f t="shared" si="1"/>
        <v>69.115038378975441</v>
      </c>
      <c r="G16" s="20">
        <f t="shared" si="1"/>
        <v>69.115038378975441</v>
      </c>
      <c r="H16" s="20">
        <f t="shared" si="1"/>
        <v>69.115038378975456</v>
      </c>
      <c r="I16" s="7" t="s">
        <v>23</v>
      </c>
      <c r="J16" s="21" t="s">
        <v>22</v>
      </c>
    </row>
  </sheetData>
  <sheetProtection sheet="1" objects="1" scenarios="1"/>
  <hyperlinks>
    <hyperlink ref="K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push-pull FET</vt:lpstr>
      <vt:lpstr>push-pull BJT</vt:lpstr>
      <vt:lpstr>single FET</vt:lpstr>
      <vt:lpstr>single BJT</vt:lpstr>
      <vt:lpstr>single generic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2020-10-29T21:32:10Z</dcterms:created>
  <dcterms:modified xsi:type="dcterms:W3CDTF">2023-02-23T20:38:22Z</dcterms:modified>
</cp:coreProperties>
</file>